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重病14人" sheetId="1" r:id="rId1"/>
  </sheets>
  <definedNames>
    <definedName name="_xlnm._FilterDatabase" localSheetId="0" hidden="1">重病14人!$A$5:$IN$17</definedName>
  </definedNames>
  <calcPr calcId="144525"/>
</workbook>
</file>

<file path=xl/sharedStrings.xml><?xml version="1.0" encoding="utf-8"?>
<sst xmlns="http://schemas.openxmlformats.org/spreadsheetml/2006/main" count="72" uniqueCount="51">
  <si>
    <t>洱源县医疗保障局“一事一议”医疗救助拟享受救助人员花名册（普通家庭成员中重病患者）</t>
  </si>
  <si>
    <t>制表：洱源县医疗保障局</t>
  </si>
  <si>
    <t>单位：元、%</t>
  </si>
  <si>
    <t>序号</t>
  </si>
  <si>
    <t>患者姓名</t>
  </si>
  <si>
    <t>家庭地址</t>
  </si>
  <si>
    <t>人员属性</t>
  </si>
  <si>
    <t>费用所属时间2021年1月1日-2021年12月31日</t>
  </si>
  <si>
    <t>“一事一议”医疗救助</t>
  </si>
  <si>
    <t>备注</t>
  </si>
  <si>
    <t>住院、特殊病门诊次数</t>
  </si>
  <si>
    <t>总医疗费用</t>
  </si>
  <si>
    <t>自费费用</t>
  </si>
  <si>
    <t>基本医保统筹支付</t>
  </si>
  <si>
    <t>大病保险报销</t>
  </si>
  <si>
    <t>医疗救助</t>
  </si>
  <si>
    <t>兜底保障</t>
  </si>
  <si>
    <t>商业保险报销</t>
  </si>
  <si>
    <t>其他救助</t>
  </si>
  <si>
    <t>政策范围内自付费用</t>
  </si>
  <si>
    <t xml:space="preserve">
救助起付线</t>
  </si>
  <si>
    <t>救助比例</t>
  </si>
  <si>
    <t>救助金额</t>
  </si>
  <si>
    <t>赵来菊</t>
  </si>
  <si>
    <t>茈碧湖镇鹅墩村鹅墩一组</t>
  </si>
  <si>
    <t>普通家庭成员中重病患者</t>
  </si>
  <si>
    <t>施德凤</t>
  </si>
  <si>
    <t>茈碧湖镇玉湖社区下北门</t>
  </si>
  <si>
    <t>病种包干</t>
  </si>
  <si>
    <t>杨保华</t>
  </si>
  <si>
    <t>茈碧湖镇大庄村大庄七组</t>
  </si>
  <si>
    <t>杨玉发</t>
  </si>
  <si>
    <t>茈碧湖镇大庄村汉登四组</t>
  </si>
  <si>
    <t>罗庆龙</t>
  </si>
  <si>
    <t>茈碧湖镇松鹤村溪登四组</t>
  </si>
  <si>
    <t>罗树花</t>
  </si>
  <si>
    <t>罗直佑</t>
  </si>
  <si>
    <t>茈碧湖镇松鹤村大松甸二组</t>
  </si>
  <si>
    <t>段桂新</t>
  </si>
  <si>
    <t>茈碧湖镇永联村小营东组</t>
  </si>
  <si>
    <t>何寿锦</t>
  </si>
  <si>
    <t>杨红雪</t>
  </si>
  <si>
    <t>茈碧湖镇永联村周礼营一组</t>
  </si>
  <si>
    <t>曹映基</t>
  </si>
  <si>
    <t>段宣会</t>
  </si>
  <si>
    <t>凤羽镇凤翔村元士三组</t>
  </si>
  <si>
    <t>杜永后</t>
  </si>
  <si>
    <t>右所镇西湖村东登组</t>
  </si>
  <si>
    <t>赵双富</t>
  </si>
  <si>
    <t>凤羽镇凤翔村太和二组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</si>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</sst>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8"/>
  <sheetViews>
    <sheetView tabSelected="1" topLeftCell="A5" workbookViewId="0">
      <selection activeCell="Q19" sqref="Q19"/>
    </sheetView>
  </sheetViews>
  <sheetFormatPr defaultColWidth="9" defaultRowHeight="14.25"/>
  <cols>
    <col min="1" max="1" width="6.125" style="7" customWidth="1"/>
    <col min="2" max="2" width="8.875" style="7" customWidth="1"/>
    <col min="3" max="3" width="20.625" style="7" customWidth="1"/>
    <col min="4" max="4" width="21.125" style="7" customWidth="1"/>
    <col min="5" max="5" width="9.7" style="7" customWidth="1"/>
    <col min="6" max="6" width="11.5" style="7" customWidth="1"/>
    <col min="7" max="7" width="10.375" style="7" customWidth="1"/>
    <col min="8" max="13" width="11.2" style="7" customWidth="1"/>
    <col min="14" max="14" width="13.5" style="7" customWidth="1"/>
    <col min="15" max="15" width="10" style="7" customWidth="1"/>
    <col min="16" max="16" width="11.8" style="7" customWidth="1"/>
    <col min="17" max="17" width="16" style="7" customWidth="1"/>
    <col min="18" max="18" width="17.5" style="7" customWidth="1"/>
    <col min="19" max="19" width="10.375" style="7"/>
    <col min="20" max="242" width="9" style="7"/>
    <col min="243" max="16384" width="9" style="8"/>
  </cols>
  <sheetData>
    <row r="1" s="1" customFormat="1" ht="41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2" customFormat="1" ht="41" customHeight="1" spans="1:18">
      <c r="A2" s="10" t="s">
        <v>1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 t="s">
        <v>2</v>
      </c>
      <c r="R2" s="11"/>
    </row>
    <row r="3" s="3" customFormat="1" ht="21" customHeight="1" spans="1:18">
      <c r="A3" s="12" t="s">
        <v>3</v>
      </c>
      <c r="B3" s="12" t="s">
        <v>4</v>
      </c>
      <c r="C3" s="13" t="s">
        <v>5</v>
      </c>
      <c r="D3" s="13" t="s">
        <v>6</v>
      </c>
      <c r="E3" s="14" t="s">
        <v>7</v>
      </c>
      <c r="F3" s="14"/>
      <c r="G3" s="14"/>
      <c r="H3" s="14"/>
      <c r="I3" s="14"/>
      <c r="J3" s="14"/>
      <c r="K3" s="14"/>
      <c r="L3" s="14"/>
      <c r="M3" s="14"/>
      <c r="N3" s="24"/>
      <c r="O3" s="25" t="s">
        <v>8</v>
      </c>
      <c r="P3" s="26"/>
      <c r="Q3" s="29"/>
      <c r="R3" s="14" t="s">
        <v>9</v>
      </c>
    </row>
    <row r="4" s="4" customFormat="1" ht="49" customHeight="1" spans="1:18">
      <c r="A4" s="12"/>
      <c r="B4" s="12"/>
      <c r="C4" s="15"/>
      <c r="D4" s="15"/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27" t="s">
        <v>19</v>
      </c>
      <c r="O4" s="12" t="s">
        <v>20</v>
      </c>
      <c r="P4" s="12" t="s">
        <v>21</v>
      </c>
      <c r="Q4" s="27" t="s">
        <v>22</v>
      </c>
      <c r="R4" s="14"/>
    </row>
    <row r="5" s="5" customFormat="1" ht="39" customHeight="1" spans="1:18">
      <c r="A5" s="16">
        <v>1</v>
      </c>
      <c r="B5" s="16" t="s">
        <v>23</v>
      </c>
      <c r="C5" s="16" t="s">
        <v>24</v>
      </c>
      <c r="D5" s="16" t="s">
        <v>25</v>
      </c>
      <c r="E5" s="16">
        <v>19</v>
      </c>
      <c r="F5" s="17">
        <f>131570.62</f>
        <v>131570.62</v>
      </c>
      <c r="G5" s="17">
        <f>13322.02</f>
        <v>13322.02</v>
      </c>
      <c r="H5" s="17">
        <f>73310.68</f>
        <v>73310.68</v>
      </c>
      <c r="I5" s="17">
        <f>22474.37</f>
        <v>22474.37</v>
      </c>
      <c r="J5" s="17">
        <f t="shared" ref="J5:J9" si="0">0</f>
        <v>0</v>
      </c>
      <c r="K5" s="17">
        <v>0</v>
      </c>
      <c r="L5" s="17">
        <v>0</v>
      </c>
      <c r="M5" s="17">
        <v>0</v>
      </c>
      <c r="N5" s="17">
        <f>F5-G5-H5-I5-J5-K5-L5-M5</f>
        <v>22463.55</v>
      </c>
      <c r="O5" s="16">
        <v>5000</v>
      </c>
      <c r="P5" s="28">
        <v>0.7</v>
      </c>
      <c r="Q5" s="17">
        <f>ROUND((N5-O5)*P5,2)</f>
        <v>12224.49</v>
      </c>
      <c r="R5" s="16"/>
    </row>
    <row r="6" s="5" customFormat="1" ht="39" customHeight="1" spans="1:18">
      <c r="A6" s="16">
        <v>2</v>
      </c>
      <c r="B6" s="16" t="s">
        <v>26</v>
      </c>
      <c r="C6" s="16" t="s">
        <v>27</v>
      </c>
      <c r="D6" s="16" t="s">
        <v>25</v>
      </c>
      <c r="E6" s="16">
        <v>23</v>
      </c>
      <c r="F6" s="17">
        <f>96039.44+10100.82</f>
        <v>106140.26</v>
      </c>
      <c r="G6" s="17">
        <f>4140.5</f>
        <v>4140.5</v>
      </c>
      <c r="H6" s="17">
        <f>56369.12+8400</f>
        <v>64769.12</v>
      </c>
      <c r="I6" s="17">
        <f>18986.57+2250</f>
        <v>21236.57</v>
      </c>
      <c r="J6" s="17">
        <f t="shared" si="0"/>
        <v>0</v>
      </c>
      <c r="K6" s="17">
        <v>0</v>
      </c>
      <c r="L6" s="17">
        <v>0</v>
      </c>
      <c r="M6" s="17">
        <v>0</v>
      </c>
      <c r="N6" s="17">
        <f>16543.25+1350</f>
        <v>17893.25</v>
      </c>
      <c r="O6" s="16">
        <v>5000</v>
      </c>
      <c r="P6" s="28">
        <v>0.7</v>
      </c>
      <c r="Q6" s="17">
        <f t="shared" ref="Q6:Q20" si="1">ROUND((N6-O6)*P6,2)</f>
        <v>9025.28</v>
      </c>
      <c r="R6" s="16" t="s">
        <v>28</v>
      </c>
    </row>
    <row r="7" s="5" customFormat="1" ht="39" customHeight="1" spans="1:18">
      <c r="A7" s="16">
        <v>3</v>
      </c>
      <c r="B7" s="16" t="s">
        <v>29</v>
      </c>
      <c r="C7" s="16" t="s">
        <v>30</v>
      </c>
      <c r="D7" s="16" t="s">
        <v>25</v>
      </c>
      <c r="E7" s="16">
        <v>12</v>
      </c>
      <c r="F7" s="17">
        <f>19713.66</f>
        <v>19713.66</v>
      </c>
      <c r="G7" s="17">
        <f>1264.79</f>
        <v>1264.79</v>
      </c>
      <c r="H7" s="17">
        <f>10679.59</f>
        <v>10679.59</v>
      </c>
      <c r="I7" s="17">
        <f>116.48</f>
        <v>116.48</v>
      </c>
      <c r="J7" s="17">
        <f t="shared" si="0"/>
        <v>0</v>
      </c>
      <c r="K7" s="17">
        <v>0</v>
      </c>
      <c r="L7" s="17">
        <v>0</v>
      </c>
      <c r="M7" s="17">
        <v>0</v>
      </c>
      <c r="N7" s="17">
        <f>F7-G7-H7-I7-J7-K7-L7-M7</f>
        <v>7652.8</v>
      </c>
      <c r="O7" s="16">
        <v>5000</v>
      </c>
      <c r="P7" s="28">
        <v>0.7</v>
      </c>
      <c r="Q7" s="17">
        <f t="shared" si="1"/>
        <v>1856.96</v>
      </c>
      <c r="R7" s="16"/>
    </row>
    <row r="8" s="5" customFormat="1" ht="39" customHeight="1" spans="1:18">
      <c r="A8" s="16">
        <v>4</v>
      </c>
      <c r="B8" s="16" t="s">
        <v>31</v>
      </c>
      <c r="C8" s="16" t="s">
        <v>32</v>
      </c>
      <c r="D8" s="16" t="s">
        <v>25</v>
      </c>
      <c r="E8" s="16">
        <v>4</v>
      </c>
      <c r="F8" s="17">
        <f>30025.85</f>
        <v>30025.85</v>
      </c>
      <c r="G8" s="17">
        <f>945.28</f>
        <v>945.28</v>
      </c>
      <c r="H8" s="17">
        <f>19800.84</f>
        <v>19800.84</v>
      </c>
      <c r="I8" s="17">
        <f>1367.84</f>
        <v>1367.84</v>
      </c>
      <c r="J8" s="17">
        <f t="shared" si="0"/>
        <v>0</v>
      </c>
      <c r="K8" s="17">
        <v>0</v>
      </c>
      <c r="L8" s="17">
        <v>0</v>
      </c>
      <c r="M8" s="17">
        <v>0</v>
      </c>
      <c r="N8" s="17">
        <f>F8-G8-H8-I8-J8-K8-L8-M8</f>
        <v>7911.89</v>
      </c>
      <c r="O8" s="16">
        <v>5000</v>
      </c>
      <c r="P8" s="28">
        <v>0.7</v>
      </c>
      <c r="Q8" s="17">
        <f t="shared" si="1"/>
        <v>2038.32</v>
      </c>
      <c r="R8" s="16"/>
    </row>
    <row r="9" s="5" customFormat="1" ht="39" customHeight="1" spans="1:18">
      <c r="A9" s="16">
        <v>5</v>
      </c>
      <c r="B9" s="16" t="s">
        <v>33</v>
      </c>
      <c r="C9" s="16" t="s">
        <v>34</v>
      </c>
      <c r="D9" s="16" t="s">
        <v>25</v>
      </c>
      <c r="E9" s="16">
        <v>35</v>
      </c>
      <c r="F9" s="17">
        <f>93588.32+32586.66</f>
        <v>126174.98</v>
      </c>
      <c r="G9" s="17">
        <f>5532.14</f>
        <v>5532.14</v>
      </c>
      <c r="H9" s="17">
        <f>54141.33+25200</f>
        <v>79341.33</v>
      </c>
      <c r="I9" s="17">
        <f>20808.82+5130</f>
        <v>25938.82</v>
      </c>
      <c r="J9" s="17">
        <f t="shared" si="0"/>
        <v>0</v>
      </c>
      <c r="K9" s="17">
        <f>534.42</f>
        <v>534.42</v>
      </c>
      <c r="L9" s="17">
        <v>0</v>
      </c>
      <c r="M9" s="17">
        <v>0</v>
      </c>
      <c r="N9" s="17">
        <f>12571.61+5670</f>
        <v>18241.61</v>
      </c>
      <c r="O9" s="16">
        <v>5000</v>
      </c>
      <c r="P9" s="28">
        <v>0.7</v>
      </c>
      <c r="Q9" s="17">
        <f t="shared" si="1"/>
        <v>9269.13</v>
      </c>
      <c r="R9" s="16" t="s">
        <v>28</v>
      </c>
    </row>
    <row r="10" s="5" customFormat="1" ht="39" customHeight="1" spans="1:18">
      <c r="A10" s="16">
        <v>6</v>
      </c>
      <c r="B10" s="16" t="s">
        <v>35</v>
      </c>
      <c r="C10" s="16" t="s">
        <v>34</v>
      </c>
      <c r="D10" s="16" t="s">
        <v>25</v>
      </c>
      <c r="E10" s="16">
        <v>3</v>
      </c>
      <c r="F10" s="17">
        <f>33399.11</f>
        <v>33399.11</v>
      </c>
      <c r="G10" s="17">
        <f>3750</f>
        <v>3750</v>
      </c>
      <c r="H10" s="17">
        <f>20701.33</f>
        <v>20701.33</v>
      </c>
      <c r="I10" s="17">
        <f>973.89</f>
        <v>973.89</v>
      </c>
      <c r="J10" s="17">
        <v>1811.18</v>
      </c>
      <c r="K10" s="17">
        <v>0</v>
      </c>
      <c r="L10" s="17">
        <v>0</v>
      </c>
      <c r="M10" s="17">
        <v>0</v>
      </c>
      <c r="N10" s="17">
        <f>F10-G10-H10-I10-J10-K10-L10-M10</f>
        <v>6162.71</v>
      </c>
      <c r="O10" s="16">
        <v>5000</v>
      </c>
      <c r="P10" s="28">
        <v>0.7</v>
      </c>
      <c r="Q10" s="17">
        <f t="shared" si="1"/>
        <v>813.9</v>
      </c>
      <c r="R10" s="16"/>
    </row>
    <row r="11" s="5" customFormat="1" ht="39" customHeight="1" spans="1:18">
      <c r="A11" s="16">
        <v>7</v>
      </c>
      <c r="B11" s="16" t="s">
        <v>36</v>
      </c>
      <c r="C11" s="16" t="s">
        <v>37</v>
      </c>
      <c r="D11" s="16" t="s">
        <v>25</v>
      </c>
      <c r="E11" s="16">
        <v>9</v>
      </c>
      <c r="F11" s="17">
        <f>77972.99</f>
        <v>77972.99</v>
      </c>
      <c r="G11" s="17">
        <f>2220</f>
        <v>2220</v>
      </c>
      <c r="H11" s="17">
        <f>39170.82</f>
        <v>39170.82</v>
      </c>
      <c r="I11" s="17">
        <f>19303.76</f>
        <v>19303.76</v>
      </c>
      <c r="J11" s="17">
        <v>0</v>
      </c>
      <c r="K11" s="17">
        <v>0</v>
      </c>
      <c r="L11" s="17">
        <v>0</v>
      </c>
      <c r="M11" s="17">
        <v>0</v>
      </c>
      <c r="N11" s="17">
        <f>F11-G11-H11-I11-J11-K11-L11-M11</f>
        <v>17278.41</v>
      </c>
      <c r="O11" s="16">
        <v>5000</v>
      </c>
      <c r="P11" s="28">
        <v>0.7</v>
      </c>
      <c r="Q11" s="17">
        <f t="shared" si="1"/>
        <v>8594.89</v>
      </c>
      <c r="R11" s="16"/>
    </row>
    <row r="12" s="5" customFormat="1" ht="39" customHeight="1" spans="1:18">
      <c r="A12" s="16">
        <v>8</v>
      </c>
      <c r="B12" s="16" t="s">
        <v>38</v>
      </c>
      <c r="C12" s="16" t="s">
        <v>39</v>
      </c>
      <c r="D12" s="16" t="s">
        <v>25</v>
      </c>
      <c r="E12" s="16">
        <v>24</v>
      </c>
      <c r="F12" s="17">
        <f>82228.16</f>
        <v>82228.16</v>
      </c>
      <c r="G12" s="17">
        <f>489.42</f>
        <v>489.42</v>
      </c>
      <c r="H12" s="17">
        <f>40944.47</f>
        <v>40944.47</v>
      </c>
      <c r="I12" s="17">
        <f>23499.64</f>
        <v>23499.64</v>
      </c>
      <c r="J12" s="17">
        <f>7814.31</f>
        <v>7814.31</v>
      </c>
      <c r="K12" s="17">
        <v>0</v>
      </c>
      <c r="L12" s="17">
        <v>0</v>
      </c>
      <c r="M12" s="17">
        <v>0</v>
      </c>
      <c r="N12" s="17">
        <f>F12-G12-H12-I12-J12-K12-L12-M12</f>
        <v>9480.32</v>
      </c>
      <c r="O12" s="16">
        <v>5000</v>
      </c>
      <c r="P12" s="28">
        <v>0.7</v>
      </c>
      <c r="Q12" s="17">
        <f t="shared" si="1"/>
        <v>3136.22</v>
      </c>
      <c r="R12" s="16"/>
    </row>
    <row r="13" s="5" customFormat="1" ht="39" customHeight="1" spans="1:18">
      <c r="A13" s="16">
        <v>9</v>
      </c>
      <c r="B13" s="16" t="s">
        <v>40</v>
      </c>
      <c r="C13" s="16" t="s">
        <v>39</v>
      </c>
      <c r="D13" s="16" t="s">
        <v>25</v>
      </c>
      <c r="E13" s="16">
        <v>14</v>
      </c>
      <c r="F13" s="17">
        <f>28475.02+14592.31</f>
        <v>43067.33</v>
      </c>
      <c r="G13" s="17">
        <f>36.17</f>
        <v>36.17</v>
      </c>
      <c r="H13" s="17">
        <f>19174.57+14625</f>
        <v>33799.57</v>
      </c>
      <c r="I13" s="17">
        <f>1049.4+292.5</f>
        <v>1341.9</v>
      </c>
      <c r="J13" s="17">
        <f>502.41</f>
        <v>502.41</v>
      </c>
      <c r="K13" s="17">
        <v>0</v>
      </c>
      <c r="L13" s="17">
        <v>0</v>
      </c>
      <c r="M13" s="17">
        <v>0</v>
      </c>
      <c r="N13" s="17">
        <f>7712.47+1222.16</f>
        <v>8934.63</v>
      </c>
      <c r="O13" s="16">
        <v>5000</v>
      </c>
      <c r="P13" s="28">
        <v>0.7</v>
      </c>
      <c r="Q13" s="17">
        <f t="shared" si="1"/>
        <v>2754.24</v>
      </c>
      <c r="R13" s="16" t="s">
        <v>28</v>
      </c>
    </row>
    <row r="14" s="5" customFormat="1" ht="39" customHeight="1" spans="1:18">
      <c r="A14" s="16">
        <v>10</v>
      </c>
      <c r="B14" s="16" t="s">
        <v>41</v>
      </c>
      <c r="C14" s="16" t="s">
        <v>42</v>
      </c>
      <c r="D14" s="16" t="s">
        <v>25</v>
      </c>
      <c r="E14" s="16">
        <v>55</v>
      </c>
      <c r="F14" s="17">
        <f>18702.51+48741.99</f>
        <v>67444.5</v>
      </c>
      <c r="G14" s="17">
        <f>1722.93</f>
        <v>1722.93</v>
      </c>
      <c r="H14" s="17">
        <f>10200.69+35000</f>
        <v>45200.69</v>
      </c>
      <c r="I14" s="17">
        <f>1950.7+6186.62</f>
        <v>8137.32</v>
      </c>
      <c r="J14" s="17">
        <f>0</f>
        <v>0</v>
      </c>
      <c r="K14" s="17">
        <v>2374.77</v>
      </c>
      <c r="L14" s="17">
        <v>0</v>
      </c>
      <c r="M14" s="17">
        <v>0</v>
      </c>
      <c r="N14" s="17">
        <f>2453.42+8813.38</f>
        <v>11266.8</v>
      </c>
      <c r="O14" s="16">
        <v>5000</v>
      </c>
      <c r="P14" s="28">
        <v>0.7</v>
      </c>
      <c r="Q14" s="17">
        <f t="shared" si="1"/>
        <v>4386.76</v>
      </c>
      <c r="R14" s="16" t="s">
        <v>28</v>
      </c>
    </row>
    <row r="15" s="5" customFormat="1" ht="39" customHeight="1" spans="1:18">
      <c r="A15" s="16">
        <v>11</v>
      </c>
      <c r="B15" s="16" t="s">
        <v>43</v>
      </c>
      <c r="C15" s="16" t="s">
        <v>27</v>
      </c>
      <c r="D15" s="16" t="s">
        <v>25</v>
      </c>
      <c r="E15" s="16">
        <v>51</v>
      </c>
      <c r="F15" s="17">
        <f>139786.89</f>
        <v>139786.89</v>
      </c>
      <c r="G15" s="17">
        <f>19964.96</f>
        <v>19964.96</v>
      </c>
      <c r="H15" s="17">
        <f>76118.71</f>
        <v>76118.71</v>
      </c>
      <c r="I15" s="17">
        <f>26467.03</f>
        <v>26467.03</v>
      </c>
      <c r="J15" s="17">
        <f>8053.05+2512.94</f>
        <v>10565.99</v>
      </c>
      <c r="K15" s="17">
        <f>0</f>
        <v>0</v>
      </c>
      <c r="L15" s="17">
        <v>0</v>
      </c>
      <c r="M15" s="17">
        <v>0</v>
      </c>
      <c r="N15" s="17">
        <f>F15-G15-H15-I15-J15-K15-L15-M15</f>
        <v>6670.20000000002</v>
      </c>
      <c r="O15" s="16">
        <v>5000</v>
      </c>
      <c r="P15" s="28">
        <v>0.7</v>
      </c>
      <c r="Q15" s="17">
        <f t="shared" si="1"/>
        <v>1169.14</v>
      </c>
      <c r="R15" s="16"/>
    </row>
    <row r="16" s="6" customFormat="1" ht="39" customHeight="1" spans="1:19">
      <c r="A16" s="16">
        <v>12</v>
      </c>
      <c r="B16" s="18" t="s">
        <v>44</v>
      </c>
      <c r="C16" s="18" t="s">
        <v>45</v>
      </c>
      <c r="D16" s="16" t="s">
        <v>25</v>
      </c>
      <c r="E16" s="18">
        <v>2</v>
      </c>
      <c r="F16" s="17">
        <f>68871.01</f>
        <v>68871.01</v>
      </c>
      <c r="G16" s="19">
        <f>16833.65</f>
        <v>16833.65</v>
      </c>
      <c r="H16" s="19">
        <f>34241.33</f>
        <v>34241.33</v>
      </c>
      <c r="I16" s="19">
        <f>6477.62</f>
        <v>6477.62</v>
      </c>
      <c r="J16" s="19">
        <v>0</v>
      </c>
      <c r="K16" s="19">
        <v>0</v>
      </c>
      <c r="L16" s="19">
        <v>0</v>
      </c>
      <c r="M16" s="19">
        <v>0</v>
      </c>
      <c r="N16" s="17">
        <f>F16-G16-H16-I16-J16-K16-L16-M16</f>
        <v>11318.41</v>
      </c>
      <c r="O16" s="16">
        <v>5000</v>
      </c>
      <c r="P16" s="28">
        <v>0.7</v>
      </c>
      <c r="Q16" s="17">
        <f t="shared" si="1"/>
        <v>4422.89</v>
      </c>
      <c r="R16" s="18"/>
      <c r="S16" s="5"/>
    </row>
    <row r="17" s="6" customFormat="1" ht="39" customHeight="1" spans="1:19">
      <c r="A17" s="16">
        <v>13</v>
      </c>
      <c r="B17" s="18" t="s">
        <v>46</v>
      </c>
      <c r="C17" s="18" t="s">
        <v>47</v>
      </c>
      <c r="D17" s="16" t="s">
        <v>25</v>
      </c>
      <c r="E17" s="18">
        <v>53</v>
      </c>
      <c r="F17" s="17">
        <f>84486.67+61873.63</f>
        <v>146360.3</v>
      </c>
      <c r="G17" s="19">
        <f>4039.4</f>
        <v>4039.4</v>
      </c>
      <c r="H17" s="19">
        <f>45975.15+54439.34</f>
        <v>100414.49</v>
      </c>
      <c r="I17" s="19">
        <f>24292.14+1471.84</f>
        <v>25763.98</v>
      </c>
      <c r="J17" s="19">
        <f>0</f>
        <v>0</v>
      </c>
      <c r="K17" s="19">
        <f>1855.29</f>
        <v>1855.29</v>
      </c>
      <c r="L17" s="19">
        <v>0</v>
      </c>
      <c r="M17" s="19">
        <v>0</v>
      </c>
      <c r="N17" s="17">
        <f>8324.69+4588.82</f>
        <v>12913.51</v>
      </c>
      <c r="O17" s="16">
        <v>5000</v>
      </c>
      <c r="P17" s="28">
        <v>0.7</v>
      </c>
      <c r="Q17" s="17">
        <f t="shared" si="1"/>
        <v>5539.46</v>
      </c>
      <c r="R17" s="16" t="s">
        <v>28</v>
      </c>
      <c r="S17" s="5"/>
    </row>
    <row r="18" s="5" customFormat="1" ht="39" customHeight="1" spans="1:18">
      <c r="A18" s="16">
        <v>14</v>
      </c>
      <c r="B18" s="20" t="s">
        <v>48</v>
      </c>
      <c r="C18" s="16" t="s">
        <v>49</v>
      </c>
      <c r="D18" s="16" t="s">
        <v>25</v>
      </c>
      <c r="E18" s="16">
        <v>13</v>
      </c>
      <c r="F18" s="17">
        <f>52014.2</f>
        <v>52014.2</v>
      </c>
      <c r="G18" s="17">
        <v>658.34</v>
      </c>
      <c r="H18" s="17">
        <f>30359.44</f>
        <v>30359.44</v>
      </c>
      <c r="I18" s="17">
        <f>9643.25</f>
        <v>9643.25</v>
      </c>
      <c r="J18" s="17">
        <f>0</f>
        <v>0</v>
      </c>
      <c r="K18" s="17">
        <v>1624.23</v>
      </c>
      <c r="L18" s="17">
        <v>0</v>
      </c>
      <c r="M18" s="17">
        <v>0</v>
      </c>
      <c r="N18" s="17">
        <f>F18-G18-H18-I18-J18-K18-L18-M18+1710</f>
        <v>11438.94</v>
      </c>
      <c r="O18" s="16">
        <v>5000</v>
      </c>
      <c r="P18" s="28">
        <v>0.7</v>
      </c>
      <c r="Q18" s="17">
        <f t="shared" si="1"/>
        <v>4507.26</v>
      </c>
      <c r="R18" s="16" t="s">
        <v>28</v>
      </c>
    </row>
    <row r="19" s="5" customFormat="1" ht="39" customHeight="1" spans="1:18">
      <c r="A19" s="21" t="s">
        <v>50</v>
      </c>
      <c r="B19" s="22"/>
      <c r="C19" s="22"/>
      <c r="D19" s="22"/>
      <c r="E19" s="23"/>
      <c r="F19" s="16">
        <f t="shared" ref="F19:N19" si="2">SUM(F5:F18)</f>
        <v>1124769.86</v>
      </c>
      <c r="G19" s="16">
        <f t="shared" si="2"/>
        <v>74919.6</v>
      </c>
      <c r="H19" s="16">
        <f t="shared" si="2"/>
        <v>668852.41</v>
      </c>
      <c r="I19" s="16">
        <f t="shared" si="2"/>
        <v>192742.47</v>
      </c>
      <c r="J19" s="16">
        <f t="shared" si="2"/>
        <v>20693.89</v>
      </c>
      <c r="K19" s="16">
        <f t="shared" si="2"/>
        <v>6388.71</v>
      </c>
      <c r="L19" s="17">
        <f t="shared" si="2"/>
        <v>0</v>
      </c>
      <c r="M19" s="17">
        <f t="shared" si="2"/>
        <v>0</v>
      </c>
      <c r="N19" s="16">
        <f t="shared" si="2"/>
        <v>169627.03</v>
      </c>
      <c r="O19" s="16"/>
      <c r="P19" s="28"/>
      <c r="Q19" s="16">
        <f>SUM(Q5:Q18)</f>
        <v>69738.94</v>
      </c>
      <c r="R19" s="16"/>
    </row>
    <row r="20" s="7" customFormat="1" ht="23" customHeight="1"/>
    <row r="21" s="7" customFormat="1" ht="23" customHeight="1"/>
    <row r="22" s="7" customFormat="1" ht="23" customHeight="1"/>
    <row r="23" s="7" customFormat="1" ht="23" customHeight="1"/>
    <row r="24" s="7" customFormat="1" ht="23" customHeight="1"/>
    <row r="25" s="7" customFormat="1" ht="23" customHeight="1"/>
    <row r="26" s="7" customFormat="1" ht="23" customHeight="1"/>
    <row r="27" s="7" customFormat="1" ht="23" customHeight="1"/>
    <row r="28" s="7" customFormat="1" ht="23" customHeight="1"/>
    <row r="29" s="7" customFormat="1" ht="23" customHeight="1"/>
    <row r="30" s="7" customFormat="1" ht="23" customHeight="1"/>
    <row r="31" s="7" customFormat="1" ht="23" customHeight="1"/>
    <row r="32" s="7" customFormat="1" ht="23" customHeight="1"/>
    <row r="33" s="7" customFormat="1" ht="23" customHeight="1"/>
    <row r="34" s="7" customFormat="1" ht="23" customHeight="1"/>
    <row r="35" s="7" customFormat="1" ht="23" customHeight="1"/>
    <row r="36" s="7" customFormat="1" ht="23" customHeight="1"/>
    <row r="37" s="7" customFormat="1" ht="23" customHeight="1"/>
    <row r="38" s="7" customFormat="1" ht="23" customHeight="1"/>
    <row r="39" s="7" customFormat="1" ht="23" customHeight="1"/>
    <row r="40" s="7" customFormat="1" ht="23" customHeight="1"/>
    <row r="41" s="7" customFormat="1" ht="23" customHeight="1"/>
    <row r="42" s="7" customFormat="1" ht="23" customHeight="1"/>
    <row r="43" s="7" customFormat="1" ht="23" customHeight="1"/>
    <row r="44" s="7" customFormat="1" ht="23" customHeight="1"/>
    <row r="45" s="7" customFormat="1" ht="23" customHeight="1"/>
    <row r="46" s="7" customFormat="1" ht="23" customHeight="1"/>
    <row r="47" s="7" customFormat="1" ht="23" customHeight="1"/>
    <row r="48" s="7" customFormat="1" ht="23" customHeight="1"/>
    <row r="49" s="7" customFormat="1" ht="23" customHeight="1"/>
    <row r="50" s="7" customFormat="1" ht="23" customHeight="1"/>
    <row r="51" s="7" customFormat="1" ht="23" customHeight="1"/>
    <row r="52" s="7" customFormat="1" ht="23" customHeight="1"/>
    <row r="53" s="7" customFormat="1" ht="23" customHeight="1"/>
    <row r="54" s="7" customFormat="1" ht="23" customHeight="1"/>
    <row r="55" s="7" customFormat="1" ht="23" customHeight="1"/>
    <row r="56" s="7" customFormat="1" ht="23" customHeight="1"/>
    <row r="57" s="7" customFormat="1" ht="23" customHeight="1"/>
    <row r="58" s="7" customFormat="1" ht="23" customHeight="1"/>
    <row r="59" s="7" customFormat="1" ht="23" customHeight="1"/>
    <row r="60" s="7" customFormat="1" ht="23" customHeight="1"/>
    <row r="61" s="7" customFormat="1" ht="23" customHeight="1"/>
    <row r="62" s="7" customFormat="1" ht="23" customHeight="1"/>
    <row r="63" s="7" customFormat="1" ht="23" customHeight="1"/>
    <row r="64" s="7" customFormat="1" ht="23" customHeight="1"/>
    <row r="65" s="7" customFormat="1" ht="23" customHeight="1"/>
    <row r="66" s="7" customFormat="1" ht="23" customHeight="1"/>
    <row r="67" s="7" customFormat="1" ht="23" customHeight="1"/>
    <row r="68" s="7" customFormat="1" ht="23" customHeight="1"/>
    <row r="69" s="7" customFormat="1" ht="23" customHeight="1"/>
    <row r="70" s="7" customFormat="1" ht="23" customHeight="1"/>
    <row r="71" s="7" customFormat="1" ht="23" customHeight="1"/>
    <row r="72" s="7" customFormat="1" ht="23" customHeight="1"/>
    <row r="73" s="7" customFormat="1" ht="23" customHeight="1"/>
    <row r="74" s="7" customFormat="1" ht="23" customHeight="1"/>
    <row r="75" s="7" customFormat="1" ht="23" customHeight="1"/>
    <row r="76" s="7" customFormat="1" ht="23" customHeight="1"/>
    <row r="77" s="7" customFormat="1" ht="23" customHeight="1"/>
    <row r="78" s="7" customFormat="1" ht="23" customHeight="1"/>
    <row r="79" s="7" customFormat="1" ht="23" customHeight="1"/>
    <row r="80" s="7" customFormat="1" ht="23" customHeight="1"/>
    <row r="81" s="7" customFormat="1" ht="23" customHeight="1"/>
    <row r="82" s="7" customFormat="1" ht="23" customHeight="1"/>
    <row r="83" s="7" customFormat="1" ht="23" customHeight="1"/>
    <row r="84" s="7" customFormat="1" ht="23" customHeight="1"/>
    <row r="85" s="7" customFormat="1" ht="23" customHeight="1"/>
    <row r="86" s="7" customFormat="1" ht="23" customHeight="1"/>
    <row r="87" s="7" customFormat="1" ht="23" customHeight="1"/>
    <row r="88" ht="30" customHeight="1"/>
  </sheetData>
  <mergeCells count="10">
    <mergeCell ref="A1:R1"/>
    <mergeCell ref="Q2:R2"/>
    <mergeCell ref="E3:N3"/>
    <mergeCell ref="O3:Q3"/>
    <mergeCell ref="A19:E19"/>
    <mergeCell ref="A3:A4"/>
    <mergeCell ref="B3:B4"/>
    <mergeCell ref="C3:C4"/>
    <mergeCell ref="D3:D4"/>
    <mergeCell ref="R3:R4"/>
  </mergeCells>
  <pageMargins left="0.196527777777778" right="0.236111111111111" top="0.275" bottom="0.118055555555556" header="0.275" footer="0.15625"/>
  <pageSetup paperSize="9" scale="6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重病14人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37977</dc:creator>
  <cp:lastModifiedBy>吃货</cp:lastModifiedBy>
  <dcterms:created xsi:type="dcterms:W3CDTF">2022-07-11T03:21:00Z</dcterms:created>
  <dcterms:modified xsi:type="dcterms:W3CDTF">2022-11-09T01:34:21Z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2B13634E94CF461394D47ED901D0916E</vt:lpwstr>
  </property>
  <property fmtid="{D5CDD505-2E9C-101B-9397-08002B2CF9AE}" pid="3" name="KSOProductBuildVer">
    <vt:lpwstr>2052-11.1.0.12763</vt:lpwstr>
  </property>
</Properties>
</file>